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<sst xmlns="http://schemas.openxmlformats.org/spreadsheetml/2006/main" count="156" uniqueCount="111">
  <si>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</si>
  <si>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</si>
  <si>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</si>
  <si>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</si>
  <si>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</si>
  <si>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</si>
  <si>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</si>
  <si>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</si>
  <si>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</si>
  <si>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</si>
  <si>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</si>
  <si>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</si>
  <si>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</si>
  <si>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</si>
  <si>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</si>
  <si>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</si>
  <si>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</si>
  <si>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</si>
  <si>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</si>
  <si>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</si>
  <si>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</si>
  <si>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</si>
  <si>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</si>
  <si>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</si>
  <si>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</si>
  <si>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</si>
  <si>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</si>
  <si>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</si>
  <si>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</si>
  <si>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</si>
  <si>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</si>
  <si>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</si>
  <si>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</si>
  <si>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</si>
  <si>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</si>
  <si>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</si>
  <si>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</si>
  <si>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</si>
  <si>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</si>
  <si>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</si>
  <si>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</si>
  <si>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</si>
  <si>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</si>
  <si>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</si>
  <si>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</si>
  <si>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</si>
  <si>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</si>
  <si>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</si>
  <si>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</si>
  <si>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</si>
  <si>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</si>
  <si>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</si>
  <si>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</si>
  <si>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</si>
  <si>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</si>
  <si>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</si>
  <si>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</si>
  <si>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</si>
  <si>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</si>
  <si>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</si>
  <si>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</si>
  <si>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</si>
  <si>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</si>
  <si>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</si>
  <si>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</si>
  <si>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</si>
  <si>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</si>
  <si>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</si>
  <si>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</si>
  <si>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</si>
  <si>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</si>
  <si>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</si>
  <si>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</si>
  <si>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</si>
  <si>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</si>
  <si>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</si>
  <si>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</si>
  <si>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</si>
  <si>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</si>
  <si>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</si>
  <si>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</si>
  <si>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</si>
  <si>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</si>
  <si>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</si>
  <si>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</si>
  <si>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</si>
  <si>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</si>
  <si>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</si>
  <si>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</si>
  <si>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</si>
  <si>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</si>
  <si>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</si>
  <si>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</si>
  <si>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</si>
  <si>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</si>
  <si>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</si>
  <si>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</si>
  <si>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</si>
  <si>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</si>
  <si>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</si>
  <si>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</si>
  <si>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</si>
  <si>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</si>
  <si>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</si>
  <si>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</si>
  <si>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</si>
  <si>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</si>
  <si>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</si>
  <si>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</si>
  <si>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</si>
  <si>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2014 рік станом на 16.06.2014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</si>
</sst>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7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20084.5</c:v>
                </c:pt>
                <c:pt idx="1">
                  <c:v>16745.199999999997</c:v>
                </c:pt>
                <c:pt idx="2">
                  <c:v>1036.3</c:v>
                </c:pt>
                <c:pt idx="3">
                  <c:v>2303.0000000000027</c:v>
                </c:pt>
              </c:numCache>
            </c:numRef>
          </c:val>
          <c:shape val="box"/>
        </c:ser>
        <c:shape val="box"/>
        <c:axId val="45955097"/>
        <c:axId val="10942690"/>
      </c:bar3DChart>
      <c:catAx>
        <c:axId val="45955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942690"/>
        <c:crosses val="autoZero"/>
        <c:auto val="1"/>
        <c:lblOffset val="100"/>
        <c:tickLblSkip val="1"/>
        <c:noMultiLvlLbl val="0"/>
      </c:catAx>
      <c:valAx>
        <c:axId val="10942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550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147070.7</c:v>
                </c:pt>
                <c:pt idx="1">
                  <c:v>121047.5</c:v>
                </c:pt>
                <c:pt idx="2">
                  <c:v>10.000000000000002</c:v>
                </c:pt>
                <c:pt idx="3">
                  <c:v>8159.100000000001</c:v>
                </c:pt>
                <c:pt idx="4">
                  <c:v>17218.399999999998</c:v>
                </c:pt>
                <c:pt idx="5">
                  <c:v>167</c:v>
                </c:pt>
                <c:pt idx="6">
                  <c:v>468.70000000001164</c:v>
                </c:pt>
              </c:numCache>
            </c:numRef>
          </c:val>
          <c:shape val="box"/>
        </c:ser>
        <c:shape val="box"/>
        <c:axId val="31375347"/>
        <c:axId val="13942668"/>
      </c:bar3DChart>
      <c:catAx>
        <c:axId val="31375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942668"/>
        <c:crosses val="autoZero"/>
        <c:auto val="1"/>
        <c:lblOffset val="100"/>
        <c:tickLblSkip val="1"/>
        <c:noMultiLvlLbl val="0"/>
      </c:catAx>
      <c:valAx>
        <c:axId val="139426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753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85804.7</c:v>
                </c:pt>
                <c:pt idx="1">
                  <c:v>68918.59999999999</c:v>
                </c:pt>
                <c:pt idx="2">
                  <c:v>1875.9999999999995</c:v>
                </c:pt>
                <c:pt idx="3">
                  <c:v>1133.3</c:v>
                </c:pt>
                <c:pt idx="4">
                  <c:v>7302.6</c:v>
                </c:pt>
                <c:pt idx="5">
                  <c:v>661</c:v>
                </c:pt>
                <c:pt idx="6">
                  <c:v>5913.200000000006</c:v>
                </c:pt>
              </c:numCache>
            </c:numRef>
          </c:val>
          <c:shape val="box"/>
        </c:ser>
        <c:shape val="box"/>
        <c:axId val="58375149"/>
        <c:axId val="55614294"/>
      </c:bar3DChart>
      <c:catAx>
        <c:axId val="58375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614294"/>
        <c:crosses val="autoZero"/>
        <c:auto val="1"/>
        <c:lblOffset val="100"/>
        <c:tickLblSkip val="1"/>
        <c:noMultiLvlLbl val="0"/>
      </c:catAx>
      <c:valAx>
        <c:axId val="55614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751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6837.100000000003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18409.7</c:v>
                </c:pt>
                <c:pt idx="1">
                  <c:v>14394.599999999999</c:v>
                </c:pt>
                <c:pt idx="2">
                  <c:v>674.9</c:v>
                </c:pt>
                <c:pt idx="3">
                  <c:v>197.29999999999998</c:v>
                </c:pt>
                <c:pt idx="4">
                  <c:v>18</c:v>
                </c:pt>
                <c:pt idx="5">
                  <c:v>3124.900000000002</c:v>
                </c:pt>
              </c:numCache>
            </c:numRef>
          </c:val>
          <c:shape val="box"/>
        </c:ser>
        <c:shape val="box"/>
        <c:axId val="30766599"/>
        <c:axId val="8463936"/>
      </c:bar3DChart>
      <c:catAx>
        <c:axId val="30766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463936"/>
        <c:crosses val="autoZero"/>
        <c:auto val="1"/>
        <c:lblOffset val="100"/>
        <c:tickLblSkip val="1"/>
        <c:noMultiLvlLbl val="0"/>
      </c:catAx>
      <c:valAx>
        <c:axId val="8463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665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5326.4</c:v>
                </c:pt>
                <c:pt idx="1">
                  <c:v>3482.5999999999995</c:v>
                </c:pt>
                <c:pt idx="3">
                  <c:v>79.50000000000001</c:v>
                </c:pt>
                <c:pt idx="4">
                  <c:v>213.49999999999994</c:v>
                </c:pt>
                <c:pt idx="5">
                  <c:v>1550.8000000000002</c:v>
                </c:pt>
              </c:numCache>
            </c:numRef>
          </c:val>
          <c:shape val="box"/>
        </c:ser>
        <c:shape val="box"/>
        <c:axId val="9066561"/>
        <c:axId val="14490186"/>
      </c:bar3DChart>
      <c:catAx>
        <c:axId val="9066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90186"/>
        <c:crosses val="autoZero"/>
        <c:auto val="1"/>
        <c:lblOffset val="100"/>
        <c:tickLblSkip val="2"/>
        <c:noMultiLvlLbl val="0"/>
      </c:catAx>
      <c:valAx>
        <c:axId val="14490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665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1702</c:v>
                </c:pt>
                <c:pt idx="2">
                  <c:v>188.9</c:v>
                </c:pt>
                <c:pt idx="3">
                  <c:v>287.9</c:v>
                </c:pt>
                <c:pt idx="4">
                  <c:v>728.7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1239</c:v>
                </c:pt>
                <c:pt idx="1">
                  <c:v>1035.3</c:v>
                </c:pt>
                <c:pt idx="3">
                  <c:v>123.2</c:v>
                </c:pt>
                <c:pt idx="5">
                  <c:v>80.50000000000004</c:v>
                </c:pt>
              </c:numCache>
            </c:numRef>
          </c:val>
          <c:shape val="box"/>
        </c:ser>
        <c:shape val="box"/>
        <c:axId val="63302811"/>
        <c:axId val="32854388"/>
      </c:bar3DChart>
      <c:catAx>
        <c:axId val="63302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854388"/>
        <c:crosses val="autoZero"/>
        <c:auto val="1"/>
        <c:lblOffset val="100"/>
        <c:tickLblSkip val="1"/>
        <c:noMultiLvlLbl val="0"/>
      </c:catAx>
      <c:valAx>
        <c:axId val="328543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028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15416.800000000003</c:v>
                </c:pt>
              </c:numCache>
            </c:numRef>
          </c:val>
          <c:shape val="box"/>
        </c:ser>
        <c:shape val="box"/>
        <c:axId val="27254037"/>
        <c:axId val="43959742"/>
      </c:bar3DChart>
      <c:catAx>
        <c:axId val="27254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959742"/>
        <c:crosses val="autoZero"/>
        <c:auto val="1"/>
        <c:lblOffset val="100"/>
        <c:tickLblSkip val="1"/>
        <c:noMultiLvlLbl val="0"/>
      </c:catAx>
      <c:valAx>
        <c:axId val="439597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540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147070.7</c:v>
                </c:pt>
                <c:pt idx="1">
                  <c:v>85804.7</c:v>
                </c:pt>
                <c:pt idx="2">
                  <c:v>18409.7</c:v>
                </c:pt>
                <c:pt idx="3">
                  <c:v>5326.4</c:v>
                </c:pt>
                <c:pt idx="4">
                  <c:v>1239</c:v>
                </c:pt>
                <c:pt idx="5">
                  <c:v>20084.5</c:v>
                </c:pt>
                <c:pt idx="6">
                  <c:v>15416.800000000003</c:v>
                </c:pt>
              </c:numCache>
            </c:numRef>
          </c:val>
          <c:shape val="box"/>
        </c:ser>
        <c:shape val="box"/>
        <c:axId val="60093359"/>
        <c:axId val="3969320"/>
      </c:bar3DChart>
      <c:catAx>
        <c:axId val="60093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9320"/>
        <c:crosses val="autoZero"/>
        <c:auto val="1"/>
        <c:lblOffset val="100"/>
        <c:tickLblSkip val="1"/>
        <c:noMultiLvlLbl val="0"/>
      </c:catAx>
      <c:valAx>
        <c:axId val="3969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933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64923.7</c:v>
                </c:pt>
                <c:pt idx="2">
                  <c:v>20504.5</c:v>
                </c:pt>
                <c:pt idx="3">
                  <c:v>8036.500000000001</c:v>
                </c:pt>
                <c:pt idx="4">
                  <c:v>7873.900000000001</c:v>
                </c:pt>
                <c:pt idx="5">
                  <c:v>92563.40000000001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228361.19999999998</c:v>
                </c:pt>
                <c:pt idx="1">
                  <c:v>27053.800000000003</c:v>
                </c:pt>
                <c:pt idx="2">
                  <c:v>9404.400000000001</c:v>
                </c:pt>
                <c:pt idx="3">
                  <c:v>3305.4000000000005</c:v>
                </c:pt>
                <c:pt idx="4">
                  <c:v>1885.9999999999995</c:v>
                </c:pt>
                <c:pt idx="5">
                  <c:v>35069.20000000001</c:v>
                </c:pt>
              </c:numCache>
            </c:numRef>
          </c:val>
          <c:shape val="box"/>
        </c:ser>
        <c:shape val="box"/>
        <c:axId val="35723881"/>
        <c:axId val="53079474"/>
      </c:bar3DChart>
      <c:catAx>
        <c:axId val="35723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079474"/>
        <c:crosses val="autoZero"/>
        <c:auto val="1"/>
        <c:lblOffset val="100"/>
        <c:tickLblSkip val="1"/>
        <c:noMultiLvlLbl val="0"/>
      </c:catAx>
      <c:valAx>
        <c:axId val="530794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238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0" t="s">
        <v>110</v>
      </c>
      <c r="B1" s="120"/>
      <c r="C1" s="120"/>
      <c r="D1" s="120"/>
      <c r="E1" s="120"/>
      <c r="F1" s="120"/>
      <c r="G1" s="120"/>
      <c r="H1" s="120"/>
      <c r="I1" s="120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4" t="s">
        <v>50</v>
      </c>
      <c r="B3" s="121" t="s">
        <v>107</v>
      </c>
      <c r="C3" s="121" t="s">
        <v>102</v>
      </c>
      <c r="D3" s="121" t="s">
        <v>29</v>
      </c>
      <c r="E3" s="121" t="s">
        <v>28</v>
      </c>
      <c r="F3" s="121" t="s">
        <v>108</v>
      </c>
      <c r="G3" s="121" t="s">
        <v>103</v>
      </c>
      <c r="H3" s="121" t="s">
        <v>109</v>
      </c>
      <c r="I3" s="121" t="s">
        <v>104</v>
      </c>
    </row>
    <row r="4" spans="1:9" ht="24.75" customHeight="1">
      <c r="A4" s="125"/>
      <c r="B4" s="122"/>
      <c r="C4" s="122"/>
      <c r="D4" s="122"/>
      <c r="E4" s="122"/>
      <c r="F4" s="122"/>
      <c r="G4" s="122"/>
      <c r="H4" s="122"/>
      <c r="I4" s="122"/>
    </row>
    <row r="5" spans="1:9" ht="39" customHeight="1" thickBot="1">
      <c r="A5" s="126"/>
      <c r="B5" s="123"/>
      <c r="C5" s="123"/>
      <c r="D5" s="123"/>
      <c r="E5" s="123"/>
      <c r="F5" s="123"/>
      <c r="G5" s="123"/>
      <c r="H5" s="123"/>
      <c r="I5" s="123"/>
    </row>
    <row r="6" spans="1:9" ht="18.75" thickBot="1">
      <c r="A6" s="30" t="s">
        <v>34</v>
      </c>
      <c r="B6" s="55">
        <v>171482.7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</f>
        <v>147070.7</v>
      </c>
      <c r="E6" s="3">
        <f>D6/D134*100</f>
        <v>48.20725711288843</v>
      </c>
      <c r="F6" s="3">
        <f>D6/B6*100</f>
        <v>85.76416163263116</v>
      </c>
      <c r="G6" s="3">
        <f aca="true" t="shared" si="0" ref="G6:G41">D6/C6*100</f>
        <v>53.60535970858534</v>
      </c>
      <c r="H6" s="3">
        <f>B6-D6</f>
        <v>24412</v>
      </c>
      <c r="I6" s="3">
        <f aca="true" t="shared" si="1" ref="I6:I41">C6-D6</f>
        <v>127287.5</v>
      </c>
    </row>
    <row r="7" spans="1:9" ht="18">
      <c r="A7" s="31" t="s">
        <v>3</v>
      </c>
      <c r="B7" s="52">
        <v>136247.5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7985.1+61.4+9890.7+1.2+8129.6+806.2+1384.8+4074.5+2508.4-0.1+1256+5351+1046.8+1404.7+196.9+8063.3+1035+0.1+765.8+122.3+398.7+641.6+852.4+6947.2+10178.9+8480.2+21078.8+18386</f>
        <v>121047.5</v>
      </c>
      <c r="E7" s="1">
        <f>D7/D6*100</f>
        <v>82.30565299546409</v>
      </c>
      <c r="F7" s="1">
        <f>D7/B7*100</f>
        <v>88.84383199691737</v>
      </c>
      <c r="G7" s="1">
        <f t="shared" si="0"/>
        <v>56.247453013471315</v>
      </c>
      <c r="H7" s="1">
        <f>B7-D7</f>
        <v>15200</v>
      </c>
      <c r="I7" s="1">
        <f t="shared" si="1"/>
        <v>94157.80000000002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0.1+0.1+0.3+0.3+2.7+0.7+1.1+1.4+0.5+0.7+1.7+0.4</f>
        <v>10.000000000000002</v>
      </c>
      <c r="E8" s="13">
        <f>D8/D6*100</f>
        <v>0.006799450876347227</v>
      </c>
      <c r="F8" s="1">
        <f>D8/B8*100</f>
        <v>42.73504273504275</v>
      </c>
      <c r="G8" s="1">
        <f t="shared" si="0"/>
        <v>22.421524663677133</v>
      </c>
      <c r="H8" s="1">
        <f aca="true" t="shared" si="2" ref="H8:H30">B8-D8</f>
        <v>13.399999999999997</v>
      </c>
      <c r="I8" s="1">
        <f t="shared" si="1"/>
        <v>34.6</v>
      </c>
    </row>
    <row r="9" spans="1:9" ht="18">
      <c r="A9" s="31" t="s">
        <v>1</v>
      </c>
      <c r="B9" s="52">
        <v>9122.6</v>
      </c>
      <c r="C9" s="53">
        <v>17103.7</v>
      </c>
      <c r="D9" s="58">
        <f>538.7+346.9+429.4+56.3+419.6+508.1+71-0.1+453.2+98.5+2.8+391.5+199.8+80.8+202.8+35.8+0.1+605.8+190.7+96.5+200+176+997.3+131.2+243.2+104+591.3+99.4+217.4+212.6+91.6-0.1+103.6+174.3+89.1</f>
        <v>8159.100000000001</v>
      </c>
      <c r="E9" s="1">
        <f>D9/D6*100</f>
        <v>5.547739964520466</v>
      </c>
      <c r="F9" s="1">
        <f aca="true" t="shared" si="3" ref="F9:F39">D9/B9*100</f>
        <v>89.43831802337054</v>
      </c>
      <c r="G9" s="1">
        <f t="shared" si="0"/>
        <v>47.703713231639945</v>
      </c>
      <c r="H9" s="1">
        <f t="shared" si="2"/>
        <v>963.4999999999991</v>
      </c>
      <c r="I9" s="1">
        <f t="shared" si="1"/>
        <v>8944.599999999999</v>
      </c>
    </row>
    <row r="10" spans="1:9" ht="18">
      <c r="A10" s="31" t="s">
        <v>0</v>
      </c>
      <c r="B10" s="52">
        <v>24775.9</v>
      </c>
      <c r="C10" s="53">
        <v>39445.5</v>
      </c>
      <c r="D10" s="59">
        <f>1.1+76.7+36.7+34.9+18.5+42.2+88.1+82.5+80.9+400.1+1837.5+2957.3+365.3+150+4041.5+622.1+388.9+504.4+104+339.4+307.4+873.2+298.8+1030.7+5.1+301.4+159+4.7+44.9+145.5+1389.2+0.1+286.8+29.7+169.8</f>
        <v>17218.399999999998</v>
      </c>
      <c r="E10" s="1">
        <f>D10/D6*100</f>
        <v>11.707566496929706</v>
      </c>
      <c r="F10" s="1">
        <f t="shared" si="3"/>
        <v>69.4965672286375</v>
      </c>
      <c r="G10" s="1">
        <f t="shared" si="0"/>
        <v>43.651113561749746</v>
      </c>
      <c r="H10" s="1">
        <f t="shared" si="2"/>
        <v>7557.500000000004</v>
      </c>
      <c r="I10" s="1">
        <f t="shared" si="1"/>
        <v>22227.100000000002</v>
      </c>
    </row>
    <row r="11" spans="1:9" ht="18">
      <c r="A11" s="31" t="s">
        <v>15</v>
      </c>
      <c r="B11" s="52">
        <v>240.1</v>
      </c>
      <c r="C11" s="53">
        <v>281.8</v>
      </c>
      <c r="D11" s="54">
        <f>4+4+12.7+4+4+14.5+4+115.8+4</f>
        <v>167</v>
      </c>
      <c r="E11" s="1">
        <f>D11/D6*100</f>
        <v>0.11355082963499868</v>
      </c>
      <c r="F11" s="1">
        <f t="shared" si="3"/>
        <v>69.55435235318618</v>
      </c>
      <c r="G11" s="1">
        <f t="shared" si="0"/>
        <v>59.26188786373314</v>
      </c>
      <c r="H11" s="1">
        <f t="shared" si="2"/>
        <v>73.1</v>
      </c>
      <c r="I11" s="1">
        <f t="shared" si="1"/>
        <v>114.80000000000001</v>
      </c>
    </row>
    <row r="12" spans="1:9" ht="18.75" thickBot="1">
      <c r="A12" s="31" t="s">
        <v>35</v>
      </c>
      <c r="B12" s="53">
        <f>B6-B7-B8-B9-B10-B11</f>
        <v>1073.2000000000103</v>
      </c>
      <c r="C12" s="53">
        <f>C6-C7-C8-C9-C10-C11</f>
        <v>2277.299999999991</v>
      </c>
      <c r="D12" s="53">
        <f>D6-D7-D8-D9-D10-D11</f>
        <v>468.70000000001164</v>
      </c>
      <c r="E12" s="1">
        <f>D12/D6*100</f>
        <v>0.3186902625744024</v>
      </c>
      <c r="F12" s="1">
        <f t="shared" si="3"/>
        <v>43.6731270965344</v>
      </c>
      <c r="G12" s="1">
        <f t="shared" si="0"/>
        <v>20.581390242832015</v>
      </c>
      <c r="H12" s="1">
        <f t="shared" si="2"/>
        <v>604.4999999999986</v>
      </c>
      <c r="I12" s="1">
        <f t="shared" si="1"/>
        <v>1808.5999999999794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103856.3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</f>
        <v>85804.7</v>
      </c>
      <c r="E17" s="3">
        <f>D17/D134*100</f>
        <v>28.125311393732787</v>
      </c>
      <c r="F17" s="3">
        <f>D17/B17*100</f>
        <v>82.61867599750809</v>
      </c>
      <c r="G17" s="3">
        <f t="shared" si="0"/>
        <v>48.26787993544384</v>
      </c>
      <c r="H17" s="3">
        <f>B17-D17</f>
        <v>18051.600000000006</v>
      </c>
      <c r="I17" s="3">
        <f t="shared" si="1"/>
        <v>91963.00000000001</v>
      </c>
    </row>
    <row r="18" spans="1:9" ht="18">
      <c r="A18" s="31" t="s">
        <v>5</v>
      </c>
      <c r="B18" s="52">
        <v>79531.2</v>
      </c>
      <c r="C18" s="53">
        <f>133077.8+325.7</f>
        <v>133403.5</v>
      </c>
      <c r="D18" s="54">
        <f>5127.2+6545.1+310.1+0.1+5190.4+6767.1+5380.4+556.1+6698.2+26.3+5454.2+14.7+1807.4+5633.7-0.1+5479.7+8333.7+0.1+5594.2</f>
        <v>68918.59999999999</v>
      </c>
      <c r="E18" s="1">
        <f>D18/D17*100</f>
        <v>80.3203087942735</v>
      </c>
      <c r="F18" s="1">
        <f t="shared" si="3"/>
        <v>86.6560544792484</v>
      </c>
      <c r="G18" s="1">
        <f t="shared" si="0"/>
        <v>51.6617629972227</v>
      </c>
      <c r="H18" s="1">
        <f t="shared" si="2"/>
        <v>10612.600000000006</v>
      </c>
      <c r="I18" s="1">
        <f t="shared" si="1"/>
        <v>64484.90000000001</v>
      </c>
    </row>
    <row r="19" spans="1:9" ht="18">
      <c r="A19" s="31" t="s">
        <v>2</v>
      </c>
      <c r="B19" s="52">
        <v>4048.5</v>
      </c>
      <c r="C19" s="53">
        <f>7565.3-5.5+258.8</f>
        <v>7818.6</v>
      </c>
      <c r="D19" s="54">
        <f>15+99.7+173.8+0.6+107.5+22.1+0.5+193.8+202.2+7.6+0.9+0.4+198.3+0.9+0.9+95.5+0.1+279.3+38.4+83.3+46.9+46.6+4.1+6.6+39.1+95.6+92.1+24.2</f>
        <v>1875.9999999999995</v>
      </c>
      <c r="E19" s="1">
        <f>D19/D17*100</f>
        <v>2.1863604208161087</v>
      </c>
      <c r="F19" s="1">
        <f t="shared" si="3"/>
        <v>46.3381499320736</v>
      </c>
      <c r="G19" s="1">
        <f t="shared" si="0"/>
        <v>23.994065433709352</v>
      </c>
      <c r="H19" s="1">
        <f t="shared" si="2"/>
        <v>2172.5000000000005</v>
      </c>
      <c r="I19" s="1">
        <f t="shared" si="1"/>
        <v>5942.6</v>
      </c>
    </row>
    <row r="20" spans="1:9" ht="18">
      <c r="A20" s="31" t="s">
        <v>1</v>
      </c>
      <c r="B20" s="52">
        <v>1349.7</v>
      </c>
      <c r="C20" s="53">
        <v>2836.6</v>
      </c>
      <c r="D20" s="54">
        <f>50.7+162.6+43.4+2.3+47.2+1.8+59.1-0.1+62.8+64.5+13.9+16.6+5.7+70.4+205+17+53.6+0.4+52.9+123.3+33.6+13.4+33.2</f>
        <v>1133.3</v>
      </c>
      <c r="E20" s="1">
        <f>D20/D17*100</f>
        <v>1.3207901198885377</v>
      </c>
      <c r="F20" s="1">
        <f t="shared" si="3"/>
        <v>83.96680743869007</v>
      </c>
      <c r="G20" s="1">
        <f t="shared" si="0"/>
        <v>39.952760346894166</v>
      </c>
      <c r="H20" s="1">
        <f t="shared" si="2"/>
        <v>216.4000000000001</v>
      </c>
      <c r="I20" s="1">
        <f t="shared" si="1"/>
        <v>1703.3</v>
      </c>
    </row>
    <row r="21" spans="1:9" ht="18">
      <c r="A21" s="31" t="s">
        <v>0</v>
      </c>
      <c r="B21" s="52">
        <v>9949.1</v>
      </c>
      <c r="C21" s="53">
        <f>19349.6+4</f>
        <v>19353.6</v>
      </c>
      <c r="D21" s="54">
        <f>36.6+15.7+3.3+2+290.1+4.1+24.2+41.8-0.1+460.8+0.9+2.5+257.9+361.7+1303.2+901+0.2+255.3+105.4+1050+1256.6+91+115.9+147.7+464.8+110</f>
        <v>7302.6</v>
      </c>
      <c r="E21" s="1">
        <f>D21/D17*100</f>
        <v>8.510722606104329</v>
      </c>
      <c r="F21" s="1">
        <f t="shared" si="3"/>
        <v>73.39960398427998</v>
      </c>
      <c r="G21" s="1">
        <f t="shared" si="0"/>
        <v>37.73251488095239</v>
      </c>
      <c r="H21" s="1">
        <f t="shared" si="2"/>
        <v>2646.5</v>
      </c>
      <c r="I21" s="1">
        <f t="shared" si="1"/>
        <v>12050.999999999998</v>
      </c>
    </row>
    <row r="22" spans="1:9" ht="18">
      <c r="A22" s="31" t="s">
        <v>15</v>
      </c>
      <c r="B22" s="52">
        <v>740.8</v>
      </c>
      <c r="C22" s="53">
        <v>1388.5</v>
      </c>
      <c r="D22" s="54">
        <f>14.2+80.1+19.7+105+3.5+1.3+30+84.1+0.1+72.2+54.8+15.1+59.3+59.3+8.9+52.2+1.2</f>
        <v>661</v>
      </c>
      <c r="E22" s="1">
        <f>D22/D17*100</f>
        <v>0.7703540715135652</v>
      </c>
      <c r="F22" s="1">
        <f t="shared" si="3"/>
        <v>89.22786177105833</v>
      </c>
      <c r="G22" s="1">
        <f t="shared" si="0"/>
        <v>47.60532949225783</v>
      </c>
      <c r="H22" s="1">
        <f t="shared" si="2"/>
        <v>79.79999999999995</v>
      </c>
      <c r="I22" s="1">
        <f t="shared" si="1"/>
        <v>727.5</v>
      </c>
    </row>
    <row r="23" spans="1:9" ht="18.75" thickBot="1">
      <c r="A23" s="31" t="s">
        <v>35</v>
      </c>
      <c r="B23" s="53">
        <f>B17-B18-B19-B20-B21-B22</f>
        <v>8237.000000000005</v>
      </c>
      <c r="C23" s="53">
        <f>C17-C18-C19-C20-C21-C22</f>
        <v>12966.900000000016</v>
      </c>
      <c r="D23" s="53">
        <f>D17-D18-D19-D20-D21-D22</f>
        <v>5913.200000000006</v>
      </c>
      <c r="E23" s="1">
        <f>D23/D17*100</f>
        <v>6.89146398740396</v>
      </c>
      <c r="F23" s="1">
        <f t="shared" si="3"/>
        <v>71.78827242928253</v>
      </c>
      <c r="G23" s="1">
        <f t="shared" si="0"/>
        <v>45.602264226607744</v>
      </c>
      <c r="H23" s="1">
        <f t="shared" si="2"/>
        <v>2323.7999999999993</v>
      </c>
      <c r="I23" s="1">
        <f t="shared" si="1"/>
        <v>7053.70000000001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22540.8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</f>
        <v>18409.7</v>
      </c>
      <c r="E31" s="3">
        <f>D31/D134*100</f>
        <v>6.034384423757703</v>
      </c>
      <c r="F31" s="3">
        <f>D31/B31*100</f>
        <v>81.6727888983532</v>
      </c>
      <c r="G31" s="3">
        <f t="shared" si="0"/>
        <v>49.05878089207958</v>
      </c>
      <c r="H31" s="3">
        <f aca="true" t="shared" si="4" ref="H31:H41">B31-D31</f>
        <v>4131.0999999999985</v>
      </c>
      <c r="I31" s="3">
        <f t="shared" si="1"/>
        <v>19116.100000000002</v>
      </c>
    </row>
    <row r="32" spans="1:9" ht="18">
      <c r="A32" s="31" t="s">
        <v>3</v>
      </c>
      <c r="B32" s="52">
        <v>17275.3</v>
      </c>
      <c r="C32" s="53">
        <f>28976.1-761.1</f>
        <v>28215</v>
      </c>
      <c r="D32" s="54">
        <f>1119.5+1121.1+1039.4+104.2+1079.5+1133.4+1048+1163.9+1081.6+1130.3+1238-0.1+13.4+4.1+3118.3</f>
        <v>14394.599999999999</v>
      </c>
      <c r="E32" s="1">
        <f>D32/D31*100</f>
        <v>78.1903018517412</v>
      </c>
      <c r="F32" s="1">
        <f t="shared" si="3"/>
        <v>83.32474689296278</v>
      </c>
      <c r="G32" s="1">
        <f t="shared" si="0"/>
        <v>51.017543859649116</v>
      </c>
      <c r="H32" s="1">
        <f t="shared" si="4"/>
        <v>2880.7000000000007</v>
      </c>
      <c r="I32" s="1">
        <f t="shared" si="1"/>
        <v>13820.400000000001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f>999.4-111.6</f>
        <v>887.8</v>
      </c>
      <c r="C34" s="53">
        <f>1732.8+0.4</f>
        <v>1733.2</v>
      </c>
      <c r="D34" s="54">
        <f>1+2.5+0.8+6+1.4+0.1+11.2+0.5+6.3-0.2+32.4+6.9+2.4+3.4+18.4+48+143.7+198.6+32.7+71.3+22.6+9.9+48+1.6+5.4</f>
        <v>674.9</v>
      </c>
      <c r="E34" s="1">
        <f>D34/D31*100</f>
        <v>3.6660021619037786</v>
      </c>
      <c r="F34" s="1">
        <f t="shared" si="3"/>
        <v>76.0193737328227</v>
      </c>
      <c r="G34" s="1">
        <f t="shared" si="0"/>
        <v>38.9395338102931</v>
      </c>
      <c r="H34" s="1">
        <f t="shared" si="4"/>
        <v>212.89999999999998</v>
      </c>
      <c r="I34" s="1">
        <f t="shared" si="1"/>
        <v>1058.3000000000002</v>
      </c>
    </row>
    <row r="35" spans="1:9" s="47" customFormat="1" ht="18.75">
      <c r="A35" s="25" t="s">
        <v>7</v>
      </c>
      <c r="B35" s="61">
        <v>462.7</v>
      </c>
      <c r="C35" s="62">
        <v>715.3</v>
      </c>
      <c r="D35" s="63">
        <f>38.5+5.5+3+4.5+22.1+25.5+8.2+45.3+17.5+1+24+2.2</f>
        <v>197.29999999999998</v>
      </c>
      <c r="E35" s="21">
        <f>D35/D31*100</f>
        <v>1.0717176271204851</v>
      </c>
      <c r="F35" s="21">
        <f t="shared" si="3"/>
        <v>42.641020099416465</v>
      </c>
      <c r="G35" s="21">
        <f t="shared" si="0"/>
        <v>27.58283237802321</v>
      </c>
      <c r="H35" s="21">
        <f t="shared" si="4"/>
        <v>265.4</v>
      </c>
      <c r="I35" s="21">
        <f t="shared" si="1"/>
        <v>518</v>
      </c>
    </row>
    <row r="36" spans="1:9" ht="18">
      <c r="A36" s="31" t="s">
        <v>15</v>
      </c>
      <c r="B36" s="52">
        <v>18</v>
      </c>
      <c r="C36" s="53">
        <f>45.2-20</f>
        <v>25.200000000000003</v>
      </c>
      <c r="D36" s="53">
        <f>3.6+3.6+7.2+3.6</f>
        <v>18</v>
      </c>
      <c r="E36" s="1">
        <f>D36/D31*100</f>
        <v>0.09777454276821457</v>
      </c>
      <c r="F36" s="1">
        <f t="shared" si="3"/>
        <v>100</v>
      </c>
      <c r="G36" s="1">
        <f t="shared" si="0"/>
        <v>71.42857142857142</v>
      </c>
      <c r="H36" s="1">
        <f t="shared" si="4"/>
        <v>0</v>
      </c>
      <c r="I36" s="1">
        <f t="shared" si="1"/>
        <v>7.200000000000003</v>
      </c>
    </row>
    <row r="37" spans="1:9" ht="18.75" thickBot="1">
      <c r="A37" s="31" t="s">
        <v>35</v>
      </c>
      <c r="B37" s="52">
        <f>B31-B32-B34-B35-B33-B36</f>
        <v>3897</v>
      </c>
      <c r="C37" s="52">
        <f>C31-C32-C34-C35-C33-C36</f>
        <v>6837.100000000003</v>
      </c>
      <c r="D37" s="52">
        <f>D31-D32-D34-D35-D33-D36</f>
        <v>3124.900000000002</v>
      </c>
      <c r="E37" s="1">
        <f>D37/D31*100</f>
        <v>16.97420381646633</v>
      </c>
      <c r="F37" s="1">
        <f t="shared" si="3"/>
        <v>80.1873235822428</v>
      </c>
      <c r="G37" s="1">
        <f t="shared" si="0"/>
        <v>45.70505038685994</v>
      </c>
      <c r="H37" s="1">
        <f>B37-D37</f>
        <v>772.0999999999981</v>
      </c>
      <c r="I37" s="1">
        <f t="shared" si="1"/>
        <v>3712.200000000001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588.7</v>
      </c>
      <c r="C41" s="56">
        <f>1079.9+40.7</f>
        <v>1120.6000000000001</v>
      </c>
      <c r="D41" s="57">
        <f>39.9+10-0.1+63.8+32.1+23.9+51.2+20.3+38.8</f>
        <v>279.90000000000003</v>
      </c>
      <c r="E41" s="3">
        <f>D41/D134*100</f>
        <v>0.09174642716664483</v>
      </c>
      <c r="F41" s="3">
        <f>D41/B41*100</f>
        <v>47.54543910310854</v>
      </c>
      <c r="G41" s="3">
        <f t="shared" si="0"/>
        <v>24.977690522934143</v>
      </c>
      <c r="H41" s="3">
        <f t="shared" si="4"/>
        <v>308.8</v>
      </c>
      <c r="I41" s="3">
        <f t="shared" si="1"/>
        <v>840.7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3091.3</v>
      </c>
      <c r="C43" s="56">
        <f>6105.1+0.1</f>
        <v>6105.200000000001</v>
      </c>
      <c r="D43" s="57">
        <f>179.7+225.2+3.4+199.4+211.8+7.4+5.4+7.6+190.5+3.4+230.5+100.1+236.3+13.2+11.9+20.5+199.9+0.1+2+33.2+238.5+1.1+16.6+248.3+10.5+35.6+4.4+8.2+8.5+228.9+3.5</f>
        <v>2685.6</v>
      </c>
      <c r="E43" s="3">
        <f>D43/D134*100</f>
        <v>0.8802936934574538</v>
      </c>
      <c r="F43" s="3">
        <f>D43/B43*100</f>
        <v>86.87607155565618</v>
      </c>
      <c r="G43" s="3">
        <f aca="true" t="shared" si="5" ref="G43:G73">D43/C43*100</f>
        <v>43.98873091790604</v>
      </c>
      <c r="H43" s="3">
        <f>B43-D43</f>
        <v>405.7000000000003</v>
      </c>
      <c r="I43" s="3">
        <f aca="true" t="shared" si="6" ref="I43:I74">C43-D43</f>
        <v>3419.600000000001</v>
      </c>
    </row>
    <row r="44" spans="1:9" ht="18">
      <c r="A44" s="31" t="s">
        <v>3</v>
      </c>
      <c r="B44" s="52">
        <v>2606.7</v>
      </c>
      <c r="C44" s="53">
        <f>5484.1-124.7</f>
        <v>5359.400000000001</v>
      </c>
      <c r="D44" s="54">
        <f>179.7+201.3+187+211.8+190.5+230.5+236.3+199.9+0.1+218.5+248.3+8.2+228.5</f>
        <v>2340.6</v>
      </c>
      <c r="E44" s="1">
        <f>D44/D43*100</f>
        <v>87.15370866845397</v>
      </c>
      <c r="F44" s="1">
        <f aca="true" t="shared" si="7" ref="F44:F71">D44/B44*100</f>
        <v>89.79169064334216</v>
      </c>
      <c r="G44" s="1">
        <f t="shared" si="5"/>
        <v>43.67279919393962</v>
      </c>
      <c r="H44" s="1">
        <f aca="true" t="shared" si="8" ref="H44:H71">B44-D44</f>
        <v>266.0999999999999</v>
      </c>
      <c r="I44" s="1">
        <f t="shared" si="6"/>
        <v>3018.8000000000006</v>
      </c>
    </row>
    <row r="45" spans="1:9" ht="18">
      <c r="A45" s="31" t="s">
        <v>2</v>
      </c>
      <c r="B45" s="52">
        <v>0.8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0.8</v>
      </c>
      <c r="I45" s="1">
        <f t="shared" si="6"/>
        <v>1</v>
      </c>
    </row>
    <row r="46" spans="1:9" ht="18">
      <c r="A46" s="31" t="s">
        <v>1</v>
      </c>
      <c r="B46" s="52">
        <v>18.2</v>
      </c>
      <c r="C46" s="53">
        <v>35.1</v>
      </c>
      <c r="D46" s="54">
        <f>3.2+3.4-0.1+3.7+3.6+3.5</f>
        <v>17.299999999999997</v>
      </c>
      <c r="E46" s="1">
        <f>D46/D43*100</f>
        <v>0.644176347929699</v>
      </c>
      <c r="F46" s="1">
        <f t="shared" si="7"/>
        <v>95.05494505494504</v>
      </c>
      <c r="G46" s="1">
        <f t="shared" si="5"/>
        <v>49.28774928774928</v>
      </c>
      <c r="H46" s="1">
        <f t="shared" si="8"/>
        <v>0.9000000000000021</v>
      </c>
      <c r="I46" s="1">
        <f t="shared" si="6"/>
        <v>17.800000000000004</v>
      </c>
    </row>
    <row r="47" spans="1:9" ht="18">
      <c r="A47" s="31" t="s">
        <v>0</v>
      </c>
      <c r="B47" s="52">
        <v>262.7</v>
      </c>
      <c r="C47" s="53">
        <f>358+23.1</f>
        <v>381.1</v>
      </c>
      <c r="D47" s="54">
        <f>23.1+2.7+0.5+0.4+5.2+0.6+99.9+12.6+20.5-0.1+2+19.6+1.1+0.5+4.4+0.4</f>
        <v>193.4</v>
      </c>
      <c r="E47" s="1">
        <f>D47/D43*100</f>
        <v>7.201370271075365</v>
      </c>
      <c r="F47" s="1">
        <f t="shared" si="7"/>
        <v>73.62009897221165</v>
      </c>
      <c r="G47" s="1">
        <f t="shared" si="5"/>
        <v>50.74783521385463</v>
      </c>
      <c r="H47" s="1">
        <f t="shared" si="8"/>
        <v>69.29999999999998</v>
      </c>
      <c r="I47" s="1">
        <f t="shared" si="6"/>
        <v>187.70000000000002</v>
      </c>
    </row>
    <row r="48" spans="1:9" ht="18.75" thickBot="1">
      <c r="A48" s="31" t="s">
        <v>35</v>
      </c>
      <c r="B48" s="53">
        <f>B43-B44-B47-B46-B45</f>
        <v>202.90000000000038</v>
      </c>
      <c r="C48" s="53">
        <f>C43-C44-C47-C46-C45</f>
        <v>328.60000000000014</v>
      </c>
      <c r="D48" s="53">
        <f>D43-D44-D47-D46-D45</f>
        <v>134.3</v>
      </c>
      <c r="E48" s="1">
        <f>D48/D43*100</f>
        <v>5.00074471254096</v>
      </c>
      <c r="F48" s="1">
        <f t="shared" si="7"/>
        <v>66.19024149827489</v>
      </c>
      <c r="G48" s="1">
        <f t="shared" si="5"/>
        <v>40.870359099208756</v>
      </c>
      <c r="H48" s="1">
        <f t="shared" si="8"/>
        <v>68.60000000000036</v>
      </c>
      <c r="I48" s="1">
        <f t="shared" si="6"/>
        <v>194.30000000000013</v>
      </c>
    </row>
    <row r="49" spans="1:9" ht="18.75" thickBot="1">
      <c r="A49" s="30" t="s">
        <v>4</v>
      </c>
      <c r="B49" s="55">
        <f>6683.1-70-2.7</f>
        <v>6610.400000000001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282.8+343.5+104.6+27.4+31.1+70.8+315.1+27.8+66.3+5+25+425.5+95.6+8.8+334.8+43.9+50.2+364.8+68.9-0.1+79.4+50+73.4+231.6+28.9+39.3+89.2+10.3+6.7+27.5+358.6+70.2+0.2+53.9+3+100+69.1+15.3+319.6+25.2+72.3+402.7+50+64.4-0.1+15.8+0.1+76.2+297.5+4.3</f>
        <v>5326.4</v>
      </c>
      <c r="E49" s="3">
        <f>D49/D134*100</f>
        <v>1.7459027140422183</v>
      </c>
      <c r="F49" s="3">
        <f>D49/B49*100</f>
        <v>80.57606196296744</v>
      </c>
      <c r="G49" s="3">
        <f t="shared" si="5"/>
        <v>43.87407126735968</v>
      </c>
      <c r="H49" s="3">
        <f>B49-D49</f>
        <v>1284.000000000001</v>
      </c>
      <c r="I49" s="3">
        <f t="shared" si="6"/>
        <v>6813.799999999999</v>
      </c>
    </row>
    <row r="50" spans="1:9" ht="18">
      <c r="A50" s="31" t="s">
        <v>3</v>
      </c>
      <c r="B50" s="52">
        <v>4095.7</v>
      </c>
      <c r="C50" s="53">
        <f>7727-234.9</f>
        <v>7492.1</v>
      </c>
      <c r="D50" s="54">
        <f>282.8+343.5+279.8+360.5+269.9+364.8-0.1+7.2+231.6+28.9+358.6+269.6+381.2-0.1+7.2+297.2</f>
        <v>3482.5999999999995</v>
      </c>
      <c r="E50" s="1">
        <f>D50/D49*100</f>
        <v>65.38374887353558</v>
      </c>
      <c r="F50" s="1">
        <f t="shared" si="7"/>
        <v>85.03064189271674</v>
      </c>
      <c r="G50" s="1">
        <f t="shared" si="5"/>
        <v>46.48362942299221</v>
      </c>
      <c r="H50" s="1">
        <f t="shared" si="8"/>
        <v>613.1000000000004</v>
      </c>
      <c r="I50" s="1">
        <f t="shared" si="6"/>
        <v>4009.500000000001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f>167.1-16</f>
        <v>151.1</v>
      </c>
      <c r="C52" s="53">
        <v>325</v>
      </c>
      <c r="D52" s="54">
        <f>2.4+4.2+4.2+8.7+3.1+5.2-0.1+2.3+6.7+7.1+0.1+3.9+3.5+21.5+2.5-0.1+4.3</f>
        <v>79.50000000000001</v>
      </c>
      <c r="E52" s="1">
        <f>D52/D49*100</f>
        <v>1.4925653349354164</v>
      </c>
      <c r="F52" s="1">
        <f t="shared" si="7"/>
        <v>52.61416280608869</v>
      </c>
      <c r="G52" s="1">
        <f t="shared" si="5"/>
        <v>24.461538461538463</v>
      </c>
      <c r="H52" s="1">
        <f t="shared" si="8"/>
        <v>71.59999999999998</v>
      </c>
      <c r="I52" s="1">
        <f t="shared" si="6"/>
        <v>245.5</v>
      </c>
    </row>
    <row r="53" spans="1:9" ht="18">
      <c r="A53" s="31" t="s">
        <v>0</v>
      </c>
      <c r="B53" s="52">
        <f>289.6-62</f>
        <v>227.60000000000002</v>
      </c>
      <c r="C53" s="53">
        <v>534.1</v>
      </c>
      <c r="D53" s="54">
        <f>6+11+5+10.4+0.1+20.8+16+0.1+76.5+39.2+7.7+0.3+8.1+0.1+0.2+12-0.1+0.1</f>
        <v>213.49999999999994</v>
      </c>
      <c r="E53" s="1">
        <f>D53/D49*100</f>
        <v>4.0083358365875625</v>
      </c>
      <c r="F53" s="1">
        <f t="shared" si="7"/>
        <v>93.80492091388398</v>
      </c>
      <c r="G53" s="1">
        <f t="shared" si="5"/>
        <v>39.97378768020969</v>
      </c>
      <c r="H53" s="1">
        <f t="shared" si="8"/>
        <v>14.10000000000008</v>
      </c>
      <c r="I53" s="1">
        <f t="shared" si="6"/>
        <v>320.6000000000001</v>
      </c>
    </row>
    <row r="54" spans="1:9" ht="18.75" thickBot="1">
      <c r="A54" s="31" t="s">
        <v>35</v>
      </c>
      <c r="B54" s="53">
        <f>B49-B50-B53-B52-B51</f>
        <v>2136.000000000001</v>
      </c>
      <c r="C54" s="53">
        <f>C49-C50-C53-C52-C51</f>
        <v>3779.2999999999984</v>
      </c>
      <c r="D54" s="53">
        <f>D49-D50-D53-D52-D51</f>
        <v>1550.8000000000002</v>
      </c>
      <c r="E54" s="1">
        <f>D54/D49*100</f>
        <v>29.11534995494143</v>
      </c>
      <c r="F54" s="1">
        <f t="shared" si="7"/>
        <v>72.60299625468163</v>
      </c>
      <c r="G54" s="1">
        <f t="shared" si="5"/>
        <v>41.03405392533011</v>
      </c>
      <c r="H54" s="1">
        <f t="shared" si="8"/>
        <v>585.2000000000007</v>
      </c>
      <c r="I54" s="1">
        <f>C54-D54</f>
        <v>2228.499999999998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f>1936.2+70+2.7</f>
        <v>2008.9</v>
      </c>
      <c r="C56" s="56">
        <f>3908.9-890.1</f>
        <v>3018.8</v>
      </c>
      <c r="D56" s="57">
        <f>128-60.9+102.5+11.8+75.2+16.7+4.5+87.9+0.1+68.6+30.5+35.2+2.4+30+93-9.8+0.1+1.7+68.5+10.2+1.8+24.5+103.7+27.9-0.2+10.2+8.1+67+7.8+116.4+1.9+0.1+112.6+7.7+3.6+49.7</f>
        <v>1239</v>
      </c>
      <c r="E56" s="3">
        <f>D56/D134*100</f>
        <v>0.40612298413530873</v>
      </c>
      <c r="F56" s="3">
        <f>D56/B56*100</f>
        <v>61.675543829956695</v>
      </c>
      <c r="G56" s="3">
        <f t="shared" si="5"/>
        <v>41.042798462965415</v>
      </c>
      <c r="H56" s="3">
        <f>B56-D56</f>
        <v>769.9000000000001</v>
      </c>
      <c r="I56" s="3">
        <f t="shared" si="6"/>
        <v>1779.8000000000002</v>
      </c>
    </row>
    <row r="57" spans="1:9" ht="18">
      <c r="A57" s="31" t="s">
        <v>3</v>
      </c>
      <c r="B57" s="52">
        <f>1051.9+102.1</f>
        <v>1154</v>
      </c>
      <c r="C57" s="53">
        <f>2589.6-887.6</f>
        <v>1702</v>
      </c>
      <c r="D57" s="54">
        <f>128-60.9+102.5+75.2+87.9+68.6+30+93+68.5+96.9-0.1+67+116.4+112.6+49.7</f>
        <v>1035.3</v>
      </c>
      <c r="E57" s="1">
        <f>D57/D56*100</f>
        <v>83.5593220338983</v>
      </c>
      <c r="F57" s="1">
        <f t="shared" si="7"/>
        <v>89.71403812824957</v>
      </c>
      <c r="G57" s="1">
        <f t="shared" si="5"/>
        <v>60.82843713278495</v>
      </c>
      <c r="H57" s="1">
        <f t="shared" si="8"/>
        <v>118.70000000000005</v>
      </c>
      <c r="I57" s="1">
        <f t="shared" si="6"/>
        <v>666.7</v>
      </c>
    </row>
    <row r="58" spans="1:9" ht="18">
      <c r="A58" s="31" t="s">
        <v>1</v>
      </c>
      <c r="B58" s="52">
        <v>63</v>
      </c>
      <c r="C58" s="53">
        <v>188.9</v>
      </c>
      <c r="D58" s="54"/>
      <c r="E58" s="1">
        <f>D58/D56*100</f>
        <v>0</v>
      </c>
      <c r="F58" s="1">
        <f t="shared" si="7"/>
        <v>0</v>
      </c>
      <c r="G58" s="1">
        <f t="shared" si="5"/>
        <v>0</v>
      </c>
      <c r="H58" s="1">
        <f t="shared" si="8"/>
        <v>63</v>
      </c>
      <c r="I58" s="1">
        <f t="shared" si="6"/>
        <v>188.9</v>
      </c>
    </row>
    <row r="59" spans="1:9" ht="18">
      <c r="A59" s="31" t="s">
        <v>0</v>
      </c>
      <c r="B59" s="52">
        <f>163.8-32.1</f>
        <v>131.70000000000002</v>
      </c>
      <c r="C59" s="53">
        <f>297.4-9.5</f>
        <v>287.9</v>
      </c>
      <c r="D59" s="54">
        <f>4.5+4.5+30.5+35.2+10+24.5+10.2+0.1+1.9+1.8</f>
        <v>123.2</v>
      </c>
      <c r="E59" s="1">
        <f>D59/D56*100</f>
        <v>9.943502824858758</v>
      </c>
      <c r="F59" s="1">
        <f t="shared" si="7"/>
        <v>93.54593773728169</v>
      </c>
      <c r="G59" s="1">
        <f t="shared" si="5"/>
        <v>42.79263633205975</v>
      </c>
      <c r="H59" s="1">
        <f t="shared" si="8"/>
        <v>8.500000000000014</v>
      </c>
      <c r="I59" s="1">
        <f t="shared" si="6"/>
        <v>164.7</v>
      </c>
    </row>
    <row r="60" spans="1:9" ht="18">
      <c r="A60" s="31" t="s">
        <v>15</v>
      </c>
      <c r="B60" s="52">
        <v>573.3</v>
      </c>
      <c r="C60" s="53">
        <v>728.7</v>
      </c>
      <c r="D60" s="54"/>
      <c r="E60" s="1">
        <f>D60/D56*100</f>
        <v>0</v>
      </c>
      <c r="F60" s="1">
        <f t="shared" si="7"/>
        <v>0</v>
      </c>
      <c r="G60" s="1">
        <f t="shared" si="5"/>
        <v>0</v>
      </c>
      <c r="H60" s="1">
        <f t="shared" si="8"/>
        <v>573.3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86.90000000000009</v>
      </c>
      <c r="C61" s="53">
        <f>C56-C57-C59-C60-C58</f>
        <v>111.30000000000004</v>
      </c>
      <c r="D61" s="53">
        <f>D56-D57-D59-D60-D58</f>
        <v>80.50000000000004</v>
      </c>
      <c r="E61" s="1">
        <f>D61/D56*100</f>
        <v>6.497175141242942</v>
      </c>
      <c r="F61" s="1">
        <f t="shared" si="7"/>
        <v>92.6352128883774</v>
      </c>
      <c r="G61" s="1">
        <f t="shared" si="5"/>
        <v>72.32704402515725</v>
      </c>
      <c r="H61" s="1">
        <f t="shared" si="8"/>
        <v>6.400000000000048</v>
      </c>
      <c r="I61" s="1">
        <f t="shared" si="6"/>
        <v>30.799999999999997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228.8</v>
      </c>
      <c r="C66" s="56">
        <f>C67+C68</f>
        <v>460</v>
      </c>
      <c r="D66" s="57">
        <f>SUM(D67:D68)</f>
        <v>1.4</v>
      </c>
      <c r="E66" s="44">
        <f>D66/D134*100</f>
        <v>0.00045889602727153527</v>
      </c>
      <c r="F66" s="118">
        <f>D66/B66*100</f>
        <v>0.6118881118881118</v>
      </c>
      <c r="G66" s="3">
        <f t="shared" si="5"/>
        <v>0.30434782608695654</v>
      </c>
      <c r="H66" s="3">
        <f>B66-D66</f>
        <v>227.4</v>
      </c>
      <c r="I66" s="3">
        <f t="shared" si="6"/>
        <v>458.6</v>
      </c>
    </row>
    <row r="67" spans="1:9" ht="18">
      <c r="A67" s="31" t="s">
        <v>8</v>
      </c>
      <c r="B67" s="52">
        <f>138.3-1.2</f>
        <v>137.10000000000002</v>
      </c>
      <c r="C67" s="53">
        <v>257.4</v>
      </c>
      <c r="D67" s="54">
        <f>1.4</f>
        <v>1.4</v>
      </c>
      <c r="E67" s="1"/>
      <c r="F67" s="1">
        <f t="shared" si="7"/>
        <v>1.0211524434719181</v>
      </c>
      <c r="G67" s="1">
        <f t="shared" si="5"/>
        <v>0.5439005439005439</v>
      </c>
      <c r="H67" s="1">
        <f t="shared" si="8"/>
        <v>135.70000000000002</v>
      </c>
      <c r="I67" s="1">
        <f t="shared" si="6"/>
        <v>255.99999999999997</v>
      </c>
    </row>
    <row r="68" spans="1:9" ht="18.75" thickBot="1">
      <c r="A68" s="31" t="s">
        <v>9</v>
      </c>
      <c r="B68" s="52">
        <v>91.7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91.7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200</v>
      </c>
      <c r="C74" s="72">
        <v>400</v>
      </c>
      <c r="D74" s="73"/>
      <c r="E74" s="51"/>
      <c r="F74" s="51"/>
      <c r="G74" s="51"/>
      <c r="H74" s="51">
        <f>B74-D74</f>
        <v>200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23974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</f>
        <v>20084.5</v>
      </c>
      <c r="E87" s="3">
        <f>D87/D134*100</f>
        <v>6.583355185525108</v>
      </c>
      <c r="F87" s="3">
        <f aca="true" t="shared" si="11" ref="F87:F92">D87/B87*100</f>
        <v>83.77617418870443</v>
      </c>
      <c r="G87" s="3">
        <f t="shared" si="9"/>
        <v>44.668950025576585</v>
      </c>
      <c r="H87" s="3">
        <f aca="true" t="shared" si="12" ref="H87:H92">B87-D87</f>
        <v>3889.5</v>
      </c>
      <c r="I87" s="3">
        <f t="shared" si="10"/>
        <v>24878.5</v>
      </c>
    </row>
    <row r="88" spans="1:9" ht="18">
      <c r="A88" s="31" t="s">
        <v>3</v>
      </c>
      <c r="B88" s="52">
        <f>19314.4-28.1</f>
        <v>19286.300000000003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3.8+55.8+877.5+206+1.6+755.1+834.4+26.6+41.3+1268.7+0.5+8.5+536.6+685.6+565+6.3-0.1+21.4+100.1+302.4+492.5+445.4+29.6+0.1+201.4+262.7+1370.2+24.4-0.1+35.6+18.8+8.4+764.2+651.1+17.3+9.9+12+37.6+3+1586.6+20.4+1318.5+14.1+1654.4+83.7+12.9+128.8+146+1098.6</f>
        <v>16745.199999999997</v>
      </c>
      <c r="E88" s="1">
        <f>D88/D87*100</f>
        <v>83.37374592347331</v>
      </c>
      <c r="F88" s="1">
        <f t="shared" si="11"/>
        <v>86.82432607602286</v>
      </c>
      <c r="G88" s="1">
        <f t="shared" si="9"/>
        <v>44.05205683423522</v>
      </c>
      <c r="H88" s="1">
        <f t="shared" si="12"/>
        <v>2541.100000000006</v>
      </c>
      <c r="I88" s="1">
        <f t="shared" si="10"/>
        <v>21267.100000000006</v>
      </c>
    </row>
    <row r="89" spans="1:9" ht="18">
      <c r="A89" s="31" t="s">
        <v>33</v>
      </c>
      <c r="B89" s="52">
        <v>1262.7</v>
      </c>
      <c r="C89" s="53">
        <f>1866.3+51.3</f>
        <v>1917.6</v>
      </c>
      <c r="D89" s="54">
        <f>125+55.5+51.3+1.7-0.1+10.4+5.3+280.6+162.7+2.2+25.3+117.8+56.8+64.4+1.4+31+7.8+37.2</f>
        <v>1036.3</v>
      </c>
      <c r="E89" s="1">
        <f>D89/D87*100</f>
        <v>5.159700266374568</v>
      </c>
      <c r="F89" s="1">
        <f t="shared" si="11"/>
        <v>82.07016710224121</v>
      </c>
      <c r="G89" s="1">
        <f t="shared" si="9"/>
        <v>54.041510221109725</v>
      </c>
      <c r="H89" s="1">
        <f t="shared" si="12"/>
        <v>226.4000000000001</v>
      </c>
      <c r="I89" s="1">
        <f t="shared" si="10"/>
        <v>881.3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3424.9999999999973</v>
      </c>
      <c r="C91" s="53">
        <f>C87-C88-C89-C90</f>
        <v>5033.099999999997</v>
      </c>
      <c r="D91" s="53">
        <f>D87-D88-D89-D90</f>
        <v>2303.0000000000027</v>
      </c>
      <c r="E91" s="1">
        <f>D91/D87*100</f>
        <v>11.46655381015212</v>
      </c>
      <c r="F91" s="1">
        <f t="shared" si="11"/>
        <v>67.2408759124089</v>
      </c>
      <c r="G91" s="1">
        <f>D91/C91*100</f>
        <v>45.7570880769308</v>
      </c>
      <c r="H91" s="1">
        <f t="shared" si="12"/>
        <v>1121.9999999999945</v>
      </c>
      <c r="I91" s="1">
        <f>C91-D91</f>
        <v>2730.099999999994</v>
      </c>
    </row>
    <row r="92" spans="1:9" ht="19.5" thickBot="1">
      <c r="A92" s="15" t="s">
        <v>12</v>
      </c>
      <c r="B92" s="64">
        <v>24371.2</v>
      </c>
      <c r="C92" s="75">
        <f>39290.3+3989.1</f>
        <v>43279.4</v>
      </c>
      <c r="D92" s="57">
        <f>2618.9+2514.7+108.2+3415.7+1160.5+185.2+4.1+84.7+287.5+200+100+150+100+100+200+100+100+200+130+350+114+133.6+100+100+42.6+152.4+200+150+76.7+100+150+250+150+100+138.2+500+200+200+449.8</f>
        <v>15416.800000000003</v>
      </c>
      <c r="E92" s="3">
        <f>D92/D134*100</f>
        <v>5.053363052314148</v>
      </c>
      <c r="F92" s="3">
        <f t="shared" si="11"/>
        <v>63.258272058823536</v>
      </c>
      <c r="G92" s="3">
        <f>D92/C92*100</f>
        <v>35.62156591819665</v>
      </c>
      <c r="H92" s="3">
        <f t="shared" si="12"/>
        <v>8954.399999999998</v>
      </c>
      <c r="I92" s="3">
        <f>C92-D92</f>
        <v>27862.6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3441.9</v>
      </c>
      <c r="C98" s="110">
        <f>5290.2+873.6</f>
        <v>6163.8</v>
      </c>
      <c r="D98" s="94">
        <f>111.6+19.4+112.6-0.1+0.9+99.9+111.6+6.9+7.2+47.9+73.3+25.9+28.7+425.6+10.7+10.8+95.5+241.7+128.5+184.1+105.5+17.7+1.5+12.7+140+2.5+123.7+119.6+27+29.2+112.9+89.4+83.4+25.6+9.6</f>
        <v>2643</v>
      </c>
      <c r="E98" s="27">
        <f>D98/D134*100</f>
        <v>0.8663301429133342</v>
      </c>
      <c r="F98" s="27">
        <f>D98/B98*100</f>
        <v>76.78898282925128</v>
      </c>
      <c r="G98" s="27">
        <f aca="true" t="shared" si="13" ref="G98:G111">D98/C98*100</f>
        <v>42.87939258249781</v>
      </c>
      <c r="H98" s="27">
        <f>B98-D98</f>
        <v>798.9000000000001</v>
      </c>
      <c r="I98" s="27">
        <f aca="true" t="shared" si="14" ref="I98:I132">C98-D98</f>
        <v>3520.8</v>
      </c>
    </row>
    <row r="99" spans="1:9" ht="18">
      <c r="A99" s="95" t="s">
        <v>66</v>
      </c>
      <c r="B99" s="105">
        <v>15.2</v>
      </c>
      <c r="C99" s="103">
        <f>23.5-2.3-6</f>
        <v>15.2</v>
      </c>
      <c r="D99" s="103">
        <f>12.7+2.5</f>
        <v>15.2</v>
      </c>
      <c r="E99" s="99">
        <f>D99/D98*100</f>
        <v>0.5751040484298146</v>
      </c>
      <c r="F99" s="1">
        <f>D99/B99*100</f>
        <v>100</v>
      </c>
      <c r="G99" s="99">
        <f>D99/C99*100</f>
        <v>100</v>
      </c>
      <c r="H99" s="99">
        <f>B99-D99</f>
        <v>0</v>
      </c>
      <c r="I99" s="99">
        <f t="shared" si="14"/>
        <v>0</v>
      </c>
    </row>
    <row r="100" spans="1:9" ht="18">
      <c r="A100" s="101" t="s">
        <v>65</v>
      </c>
      <c r="B100" s="85">
        <v>3153.6</v>
      </c>
      <c r="C100" s="54">
        <f>4699.6+1.8+903.3-10.8-3+21.3+0.1</f>
        <v>5612.300000000001</v>
      </c>
      <c r="D100" s="54">
        <f>111.4+112.6+0.9+99.8+111.4+47.6+73.3-0.9+24.7+28.7+415.6+4.4+7.7+94.7+205.4+127.9+182.3+101.7+1.5+137.1+2.5+115.1+119.6+27+29+84.6-0.1+88.5+83.4+12.5+9.5</f>
        <v>2459.4000000000005</v>
      </c>
      <c r="E100" s="1">
        <f>D100/D98*100</f>
        <v>93.05334846765042</v>
      </c>
      <c r="F100" s="1">
        <f aca="true" t="shared" si="15" ref="F100:F132">D100/B100*100</f>
        <v>77.98706240487064</v>
      </c>
      <c r="G100" s="1">
        <f t="shared" si="13"/>
        <v>43.82160611513996</v>
      </c>
      <c r="H100" s="1">
        <f>B100-D100</f>
        <v>694.1999999999994</v>
      </c>
      <c r="I100" s="1">
        <f t="shared" si="14"/>
        <v>3152.9000000000005</v>
      </c>
    </row>
    <row r="101" spans="1:9" ht="18.75" thickBot="1">
      <c r="A101" s="102" t="s">
        <v>35</v>
      </c>
      <c r="B101" s="104">
        <f>B98-B99-B100</f>
        <v>273.10000000000036</v>
      </c>
      <c r="C101" s="104">
        <f>C98-C99-C100</f>
        <v>536.2999999999993</v>
      </c>
      <c r="D101" s="104">
        <f>D98-D99-D100</f>
        <v>168.39999999999964</v>
      </c>
      <c r="E101" s="100">
        <f>D101/D98*100</f>
        <v>6.371547483919775</v>
      </c>
      <c r="F101" s="100">
        <f t="shared" si="15"/>
        <v>61.662394727205935</v>
      </c>
      <c r="G101" s="100">
        <f t="shared" si="13"/>
        <v>31.40033563304118</v>
      </c>
      <c r="H101" s="100">
        <f>B101-D101</f>
        <v>104.70000000000073</v>
      </c>
      <c r="I101" s="100">
        <f t="shared" si="14"/>
        <v>367.89999999999964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9471.999999999998</v>
      </c>
      <c r="C102" s="97">
        <f>SUM(C103:C131)-C110-C114+C132-C127-C128-C104-C107</f>
        <v>16857.2</v>
      </c>
      <c r="D102" s="97">
        <f>SUM(D103:D131)-D110-D114+D132-D127-D128-D104-D107</f>
        <v>6118.3</v>
      </c>
      <c r="E102" s="98">
        <f>D102/D134*100</f>
        <v>2.0054739740395964</v>
      </c>
      <c r="F102" s="98">
        <f>D102/B102*100</f>
        <v>64.59353885135137</v>
      </c>
      <c r="G102" s="98">
        <f t="shared" si="13"/>
        <v>36.29487696651876</v>
      </c>
      <c r="H102" s="98">
        <f>B102-D102</f>
        <v>3353.699999999998</v>
      </c>
      <c r="I102" s="98">
        <f t="shared" si="14"/>
        <v>10738.900000000001</v>
      </c>
    </row>
    <row r="103" spans="1:9" ht="37.5">
      <c r="A103" s="36" t="s">
        <v>69</v>
      </c>
      <c r="B103" s="82">
        <v>1003.3</v>
      </c>
      <c r="C103" s="78">
        <v>1869.9</v>
      </c>
      <c r="D103" s="83">
        <f>1.4+20.1+85.2+143.2+49+97.4+39.5+2.1</f>
        <v>437.9</v>
      </c>
      <c r="E103" s="6">
        <f>D103/D102*100</f>
        <v>7.157216873968259</v>
      </c>
      <c r="F103" s="6">
        <f t="shared" si="15"/>
        <v>43.64596830459483</v>
      </c>
      <c r="G103" s="6">
        <f t="shared" si="13"/>
        <v>23.418364618428793</v>
      </c>
      <c r="H103" s="6">
        <f aca="true" t="shared" si="16" ref="H103:H132">B103-D103</f>
        <v>565.4</v>
      </c>
      <c r="I103" s="6">
        <f t="shared" si="14"/>
        <v>1432</v>
      </c>
    </row>
    <row r="104" spans="1:9" ht="18">
      <c r="A104" s="31" t="s">
        <v>33</v>
      </c>
      <c r="B104" s="85">
        <v>684.1</v>
      </c>
      <c r="C104" s="54">
        <f>1242.6+0.7</f>
        <v>1243.3</v>
      </c>
      <c r="D104" s="86">
        <f>1.4+85.2+143.2+49+2.1</f>
        <v>280.90000000000003</v>
      </c>
      <c r="E104" s="1"/>
      <c r="F104" s="1">
        <f t="shared" si="15"/>
        <v>41.06124835550358</v>
      </c>
      <c r="G104" s="1">
        <f t="shared" si="13"/>
        <v>22.59309901069734</v>
      </c>
      <c r="H104" s="1">
        <f t="shared" si="16"/>
        <v>403.2</v>
      </c>
      <c r="I104" s="1">
        <f t="shared" si="14"/>
        <v>962.3999999999999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16.5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16.5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37.3</v>
      </c>
      <c r="C108" s="71">
        <v>75.5</v>
      </c>
      <c r="D108" s="83">
        <f>5.5+5.5+5.5-0.1+5.5+5.5</f>
        <v>27.4</v>
      </c>
      <c r="E108" s="6">
        <f>D108/D102*100</f>
        <v>0.44783681741660264</v>
      </c>
      <c r="F108" s="6">
        <f t="shared" si="15"/>
        <v>73.45844504021449</v>
      </c>
      <c r="G108" s="6">
        <f t="shared" si="13"/>
        <v>36.29139072847682</v>
      </c>
      <c r="H108" s="6">
        <f t="shared" si="16"/>
        <v>9.899999999999999</v>
      </c>
      <c r="I108" s="6">
        <f t="shared" si="14"/>
        <v>48.1</v>
      </c>
    </row>
    <row r="109" spans="1:9" ht="37.5">
      <c r="A109" s="19" t="s">
        <v>47</v>
      </c>
      <c r="B109" s="84">
        <v>543</v>
      </c>
      <c r="C109" s="71">
        <v>1050</v>
      </c>
      <c r="D109" s="83">
        <f>149.7+2.5+4.1+81.3+2.1+67.3+8+8.2+93.7</f>
        <v>416.8999999999999</v>
      </c>
      <c r="E109" s="6">
        <f>D109/D102*100</f>
        <v>6.81398427667816</v>
      </c>
      <c r="F109" s="6">
        <f t="shared" si="15"/>
        <v>76.7771639042357</v>
      </c>
      <c r="G109" s="6">
        <f t="shared" si="13"/>
        <v>39.704761904761895</v>
      </c>
      <c r="H109" s="6">
        <f t="shared" si="16"/>
        <v>126.10000000000008</v>
      </c>
      <c r="I109" s="6">
        <f t="shared" si="14"/>
        <v>633.1000000000001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38.5</v>
      </c>
      <c r="C111" s="63">
        <f>51.6+22.9</f>
        <v>74.5</v>
      </c>
      <c r="D111" s="87">
        <f>22.9</f>
        <v>22.9</v>
      </c>
      <c r="E111" s="21">
        <f>D111/D102*100</f>
        <v>0.3742869751401533</v>
      </c>
      <c r="F111" s="21"/>
      <c r="G111" s="21">
        <f t="shared" si="13"/>
        <v>30.738255033557042</v>
      </c>
      <c r="H111" s="21">
        <f t="shared" si="16"/>
        <v>15.600000000000001</v>
      </c>
      <c r="I111" s="21">
        <f t="shared" si="14"/>
        <v>51.6</v>
      </c>
    </row>
    <row r="112" spans="1:9" ht="37.5">
      <c r="A112" s="19" t="s">
        <v>60</v>
      </c>
      <c r="B112" s="84">
        <v>202.6</v>
      </c>
      <c r="C112" s="71">
        <f>488.6-250</f>
        <v>238.60000000000002</v>
      </c>
      <c r="D112" s="83">
        <f>4.9+70</f>
        <v>74.9</v>
      </c>
      <c r="E112" s="6">
        <f>D112/D102*100</f>
        <v>1.2241962636680124</v>
      </c>
      <c r="F112" s="6">
        <f>D112/B112*100</f>
        <v>36.96939782823298</v>
      </c>
      <c r="G112" s="6">
        <f aca="true" t="shared" si="17" ref="G112:G132">D112/C112*100</f>
        <v>31.391450125733446</v>
      </c>
      <c r="H112" s="6">
        <f t="shared" si="16"/>
        <v>127.69999999999999</v>
      </c>
      <c r="I112" s="6">
        <f t="shared" si="14"/>
        <v>163.70000000000002</v>
      </c>
    </row>
    <row r="113" spans="1:9" s="2" customFormat="1" ht="18.75">
      <c r="A113" s="19" t="s">
        <v>16</v>
      </c>
      <c r="B113" s="84">
        <v>83.7</v>
      </c>
      <c r="C113" s="63">
        <v>153.4</v>
      </c>
      <c r="D113" s="83">
        <f>13.5+13.4+14.3+0.8+6.9+0.4+13.5-0.1+0.8+0.5+2+13.5-0.1</f>
        <v>79.4</v>
      </c>
      <c r="E113" s="6">
        <f>D113/D102*100</f>
        <v>1.2977461059444617</v>
      </c>
      <c r="F113" s="6">
        <f t="shared" si="15"/>
        <v>94.8626045400239</v>
      </c>
      <c r="G113" s="6">
        <f t="shared" si="17"/>
        <v>51.76010430247718</v>
      </c>
      <c r="H113" s="6">
        <f t="shared" si="16"/>
        <v>4.299999999999997</v>
      </c>
      <c r="I113" s="6">
        <f t="shared" si="14"/>
        <v>74</v>
      </c>
    </row>
    <row r="114" spans="1:9" s="41" customFormat="1" ht="18">
      <c r="A114" s="42" t="s">
        <v>54</v>
      </c>
      <c r="B114" s="85">
        <v>67.3</v>
      </c>
      <c r="C114" s="54">
        <v>121.2</v>
      </c>
      <c r="D114" s="86">
        <f>13.5+13.4+13.5+13.5+13.4</f>
        <v>67.3</v>
      </c>
      <c r="E114" s="1"/>
      <c r="F114" s="1">
        <f t="shared" si="15"/>
        <v>100</v>
      </c>
      <c r="G114" s="1">
        <f t="shared" si="17"/>
        <v>55.528052805280524</v>
      </c>
      <c r="H114" s="1">
        <f t="shared" si="16"/>
        <v>0</v>
      </c>
      <c r="I114" s="1">
        <f t="shared" si="14"/>
        <v>53.900000000000006</v>
      </c>
    </row>
    <row r="115" spans="1:9" s="2" customFormat="1" ht="18.75">
      <c r="A115" s="19" t="s">
        <v>25</v>
      </c>
      <c r="B115" s="84">
        <f>181.5-125.5</f>
        <v>56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56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16.2+3.7</f>
        <v>19.9</v>
      </c>
      <c r="E116" s="21">
        <f>D116/D102*100</f>
        <v>0.32525374695585374</v>
      </c>
      <c r="F116" s="6">
        <f t="shared" si="15"/>
        <v>24.062877871825876</v>
      </c>
      <c r="G116" s="6">
        <f t="shared" si="17"/>
        <v>21.013727560718053</v>
      </c>
      <c r="H116" s="6">
        <f t="shared" si="16"/>
        <v>62.800000000000004</v>
      </c>
      <c r="I116" s="6">
        <f t="shared" si="14"/>
        <v>74.80000000000001</v>
      </c>
    </row>
    <row r="117" spans="1:9" s="2" customFormat="1" ht="37.5">
      <c r="A117" s="19" t="s">
        <v>49</v>
      </c>
      <c r="B117" s="84">
        <v>1624.4</v>
      </c>
      <c r="C117" s="63">
        <v>1700.1</v>
      </c>
      <c r="D117" s="87">
        <f>196.6+25+11.8+12.7+6.1</f>
        <v>252.2</v>
      </c>
      <c r="E117" s="21">
        <f>D117/D102*100</f>
        <v>4.122060049360116</v>
      </c>
      <c r="F117" s="6">
        <f t="shared" si="15"/>
        <v>15.525732578182714</v>
      </c>
      <c r="G117" s="6">
        <f t="shared" si="17"/>
        <v>14.834421504617376</v>
      </c>
      <c r="H117" s="6">
        <f t="shared" si="16"/>
        <v>1372.2</v>
      </c>
      <c r="I117" s="6">
        <f t="shared" si="14"/>
        <v>1447.8999999999999</v>
      </c>
    </row>
    <row r="118" spans="1:9" s="2" customFormat="1" ht="56.25">
      <c r="A118" s="19" t="s">
        <v>56</v>
      </c>
      <c r="B118" s="84">
        <v>116.3</v>
      </c>
      <c r="C118" s="63">
        <f>157.1+1.2</f>
        <v>158.29999999999998</v>
      </c>
      <c r="D118" s="87">
        <f>3.8+0.6</f>
        <v>4.3999999999999995</v>
      </c>
      <c r="E118" s="21">
        <f>D118/D102*100</f>
        <v>0.07191540133697269</v>
      </c>
      <c r="F118" s="6">
        <f t="shared" si="15"/>
        <v>3.7833190025795354</v>
      </c>
      <c r="G118" s="6">
        <f t="shared" si="17"/>
        <v>2.779532533164877</v>
      </c>
      <c r="H118" s="6">
        <f t="shared" si="16"/>
        <v>111.89999999999999</v>
      </c>
      <c r="I118" s="6">
        <f t="shared" si="14"/>
        <v>153.89999999999998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>
        <f>16.8+4.6+2.6</f>
        <v>24</v>
      </c>
      <c r="E120" s="21">
        <f>D120/D102*100</f>
        <v>0.3922658254743965</v>
      </c>
      <c r="F120" s="6">
        <f t="shared" si="15"/>
        <v>48</v>
      </c>
      <c r="G120" s="6">
        <f t="shared" si="17"/>
        <v>48</v>
      </c>
      <c r="H120" s="6">
        <f t="shared" si="16"/>
        <v>26</v>
      </c>
      <c r="I120" s="6">
        <f t="shared" si="14"/>
        <v>26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>
        <f>18.3+9.7</f>
        <v>28</v>
      </c>
      <c r="E121" s="21">
        <f>D121/D102*100</f>
        <v>0.45764346305346254</v>
      </c>
      <c r="F121" s="6">
        <f t="shared" si="15"/>
        <v>33.057851239669425</v>
      </c>
      <c r="G121" s="6">
        <f t="shared" si="17"/>
        <v>33.057851239669425</v>
      </c>
      <c r="H121" s="6">
        <f t="shared" si="16"/>
        <v>56.7</v>
      </c>
      <c r="I121" s="6">
        <f t="shared" si="14"/>
        <v>56.7</v>
      </c>
    </row>
    <row r="122" spans="1:9" s="2" customFormat="1" ht="18.75">
      <c r="A122" s="19" t="s">
        <v>75</v>
      </c>
      <c r="B122" s="84">
        <f>92.5+1.2</f>
        <v>93.7</v>
      </c>
      <c r="C122" s="63">
        <v>178.8</v>
      </c>
      <c r="D122" s="87">
        <f>7.2+1.4+9.3+6.8+7.7+4.3+1.8+6+21.8</f>
        <v>66.3</v>
      </c>
      <c r="E122" s="21">
        <f>D122/D102*100</f>
        <v>1.0836343428730202</v>
      </c>
      <c r="F122" s="6">
        <f t="shared" si="15"/>
        <v>70.75773745997866</v>
      </c>
      <c r="G122" s="6">
        <f t="shared" si="17"/>
        <v>37.08053691275167</v>
      </c>
      <c r="H122" s="6">
        <f t="shared" si="16"/>
        <v>27.400000000000006</v>
      </c>
      <c r="I122" s="6">
        <f t="shared" si="14"/>
        <v>112.50000000000001</v>
      </c>
    </row>
    <row r="123" spans="1:9" s="2" customFormat="1" ht="35.25" customHeight="1">
      <c r="A123" s="19" t="s">
        <v>74</v>
      </c>
      <c r="B123" s="84">
        <v>32.8</v>
      </c>
      <c r="C123" s="63">
        <v>67.6</v>
      </c>
      <c r="D123" s="87">
        <f>0.5+1.5+0.1</f>
        <v>2.1</v>
      </c>
      <c r="E123" s="21">
        <f>D123/D102*100</f>
        <v>0.034323259729009695</v>
      </c>
      <c r="F123" s="6">
        <f t="shared" si="15"/>
        <v>6.402439024390244</v>
      </c>
      <c r="G123" s="6">
        <f t="shared" si="17"/>
        <v>3.106508875739645</v>
      </c>
      <c r="H123" s="6">
        <f t="shared" si="16"/>
        <v>30.699999999999996</v>
      </c>
      <c r="I123" s="6">
        <f t="shared" si="14"/>
        <v>65.5</v>
      </c>
    </row>
    <row r="124" spans="1:9" s="2" customFormat="1" ht="35.25" customHeight="1">
      <c r="A124" s="19" t="s">
        <v>76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437.3</v>
      </c>
      <c r="C126" s="63">
        <v>868.2</v>
      </c>
      <c r="D126" s="87">
        <f>21.4+1.2+34.6+22.6+3.4+31.2+5.1+22.6+3+44.8+0.2+32.7+27.3+30.6+3.7+29.7+4.3+33.6+0.1+0.1+6.3+25.5</f>
        <v>384.0000000000001</v>
      </c>
      <c r="E126" s="21">
        <f>D126/D102*100</f>
        <v>6.276253207590346</v>
      </c>
      <c r="F126" s="6">
        <f t="shared" si="15"/>
        <v>87.81157100388751</v>
      </c>
      <c r="G126" s="6">
        <f t="shared" si="17"/>
        <v>44.22944022114721</v>
      </c>
      <c r="H126" s="6">
        <f t="shared" si="16"/>
        <v>53.2999999999999</v>
      </c>
      <c r="I126" s="6">
        <f t="shared" si="14"/>
        <v>484.19999999999993</v>
      </c>
    </row>
    <row r="127" spans="1:9" s="41" customFormat="1" ht="18">
      <c r="A127" s="42" t="s">
        <v>54</v>
      </c>
      <c r="B127" s="85">
        <v>370.6</v>
      </c>
      <c r="C127" s="54">
        <v>747.1</v>
      </c>
      <c r="D127" s="86">
        <f>21.4+1.2+34.6+22.6+31.2+22.6+44.8+0.2+32.7+30.6+29.7+33.6+24.3</f>
        <v>329.50000000000006</v>
      </c>
      <c r="E127" s="1">
        <f>D127/D126*100</f>
        <v>85.80729166666666</v>
      </c>
      <c r="F127" s="1">
        <f>D127/B127*100</f>
        <v>88.9098758769563</v>
      </c>
      <c r="G127" s="1">
        <f t="shared" si="17"/>
        <v>44.103868290724144</v>
      </c>
      <c r="H127" s="1">
        <f t="shared" si="16"/>
        <v>41.099999999999966</v>
      </c>
      <c r="I127" s="1">
        <f t="shared" si="14"/>
        <v>417.59999999999997</v>
      </c>
    </row>
    <row r="128" spans="1:9" s="41" customFormat="1" ht="18">
      <c r="A128" s="31" t="s">
        <v>33</v>
      </c>
      <c r="B128" s="85">
        <v>15.6</v>
      </c>
      <c r="C128" s="54">
        <v>27.4</v>
      </c>
      <c r="D128" s="86">
        <f>3.4+3+2.7+1.6-0.1</f>
        <v>10.600000000000001</v>
      </c>
      <c r="E128" s="1">
        <f>D128/D126*100</f>
        <v>2.760416666666666</v>
      </c>
      <c r="F128" s="1">
        <f>D128/B128*100</f>
        <v>67.94871794871796</v>
      </c>
      <c r="G128" s="1">
        <f>D128/C128*100</f>
        <v>38.68613138686132</v>
      </c>
      <c r="H128" s="1">
        <f t="shared" si="16"/>
        <v>4.999999999999998</v>
      </c>
      <c r="I128" s="1">
        <f t="shared" si="14"/>
        <v>16.799999999999997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1513.1+580.9+2094</f>
        <v>4188</v>
      </c>
      <c r="E129" s="21">
        <f>D129/D102*100</f>
        <v>68.45038654528219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4188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</f>
        <v>90</v>
      </c>
      <c r="E130" s="21">
        <f>D130/D102*100</f>
        <v>1.4709968455289868</v>
      </c>
      <c r="F130" s="119">
        <f>D130/B130*100</f>
        <v>18.915510718789406</v>
      </c>
      <c r="G130" s="6">
        <f t="shared" si="17"/>
        <v>18.915510718789406</v>
      </c>
      <c r="H130" s="6">
        <f t="shared" si="16"/>
        <v>385.8</v>
      </c>
      <c r="I130" s="6">
        <f t="shared" si="14"/>
        <v>385.8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13931.399999999998</v>
      </c>
      <c r="C133" s="88">
        <f>C41+C66+C69+C74+C76+C84+C98+C102+C96+C81+C94</f>
        <v>25001.600000000002</v>
      </c>
      <c r="D133" s="63">
        <f>D41+D66+D69+D74+D76+D84+D98+D102+D96+D81+D94</f>
        <v>9042.6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371867.00000000006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305080</v>
      </c>
      <c r="E134" s="40">
        <v>100</v>
      </c>
      <c r="F134" s="3">
        <f>D134/B134*100</f>
        <v>82.04008422366059</v>
      </c>
      <c r="G134" s="3">
        <f aca="true" t="shared" si="18" ref="G134:G140">D134/C134*100</f>
        <v>48.87850052526604</v>
      </c>
      <c r="H134" s="3">
        <f aca="true" t="shared" si="19" ref="H134:H140">B134-D134</f>
        <v>66787.00000000006</v>
      </c>
      <c r="I134" s="3">
        <f aca="true" t="shared" si="20" ref="I134:I140">C134-D134</f>
        <v>319079.9</v>
      </c>
      <c r="K134" s="49"/>
      <c r="L134" s="50"/>
    </row>
    <row r="135" spans="1:12" ht="18.75">
      <c r="A135" s="25" t="s">
        <v>5</v>
      </c>
      <c r="B135" s="70">
        <f>B7+B18+B32+B50+B57+B88+B110+B114+B44+B127</f>
        <v>260634.6</v>
      </c>
      <c r="C135" s="70">
        <f>C7+C18+C32+C50+C57+C88+C110+C114+C44+C127</f>
        <v>430257.9</v>
      </c>
      <c r="D135" s="70">
        <f>D7+D18+D32+D50+D57+D88+D110+D114+D44+D127</f>
        <v>228361.19999999998</v>
      </c>
      <c r="E135" s="6">
        <f>D135/D134*100</f>
        <v>74.8528910449718</v>
      </c>
      <c r="F135" s="6">
        <f aca="true" t="shared" si="21" ref="F135:F146">D135/B135*100</f>
        <v>87.61737697143816</v>
      </c>
      <c r="G135" s="6">
        <f t="shared" si="18"/>
        <v>53.07542290333309</v>
      </c>
      <c r="H135" s="6">
        <f t="shared" si="19"/>
        <v>32273.400000000023</v>
      </c>
      <c r="I135" s="20">
        <f t="shared" si="20"/>
        <v>201896.70000000004</v>
      </c>
      <c r="K135" s="49"/>
      <c r="L135" s="50"/>
    </row>
    <row r="136" spans="1:12" ht="18.75">
      <c r="A136" s="25" t="s">
        <v>0</v>
      </c>
      <c r="B136" s="71">
        <f>B10+B21+B34+B53+B59+B89+B47+B128+B104+B107</f>
        <v>38197.19999999999</v>
      </c>
      <c r="C136" s="71">
        <f>C10+C21+C34+C53+C59+C89+C47+C128+C104+C107</f>
        <v>64923.7</v>
      </c>
      <c r="D136" s="71">
        <f>D10+D21+D34+D53+D59+D89+D47+D128+D104+D107</f>
        <v>27053.800000000003</v>
      </c>
      <c r="E136" s="6">
        <f>D136/D134*100</f>
        <v>8.867772387570474</v>
      </c>
      <c r="F136" s="6">
        <f t="shared" si="21"/>
        <v>70.82665745133154</v>
      </c>
      <c r="G136" s="6">
        <f t="shared" si="18"/>
        <v>41.670145108796945</v>
      </c>
      <c r="H136" s="6">
        <f t="shared" si="19"/>
        <v>11143.399999999987</v>
      </c>
      <c r="I136" s="20">
        <f t="shared" si="20"/>
        <v>37869.899999999994</v>
      </c>
      <c r="K136" s="49"/>
      <c r="L136" s="106"/>
    </row>
    <row r="137" spans="1:12" ht="18.75">
      <c r="A137" s="25" t="s">
        <v>1</v>
      </c>
      <c r="B137" s="70">
        <f>B20+B9+B52+B46+B58+B33+B99</f>
        <v>10719.800000000003</v>
      </c>
      <c r="C137" s="70">
        <f>C20+C9+C52+C46+C58+C33+C99</f>
        <v>20504.5</v>
      </c>
      <c r="D137" s="70">
        <f>D20+D9+D52+D46+D58+D33+D99</f>
        <v>9404.400000000001</v>
      </c>
      <c r="E137" s="6">
        <f>D137/D134*100</f>
        <v>3.082601284908877</v>
      </c>
      <c r="F137" s="6">
        <f t="shared" si="21"/>
        <v>87.72924868001267</v>
      </c>
      <c r="G137" s="6">
        <f t="shared" si="18"/>
        <v>45.86505401253384</v>
      </c>
      <c r="H137" s="6">
        <f t="shared" si="19"/>
        <v>1315.4000000000015</v>
      </c>
      <c r="I137" s="20">
        <f t="shared" si="20"/>
        <v>11100.099999999999</v>
      </c>
      <c r="K137" s="49"/>
      <c r="L137" s="50"/>
    </row>
    <row r="138" spans="1:12" ht="21" customHeight="1">
      <c r="A138" s="25" t="s">
        <v>15</v>
      </c>
      <c r="B138" s="70">
        <f>B11+B22+B100+B60+B36+B90</f>
        <v>4725.8</v>
      </c>
      <c r="C138" s="70">
        <f>C11+C22+C100+C60+C36+C90</f>
        <v>8036.500000000001</v>
      </c>
      <c r="D138" s="70">
        <f>D11+D22+D100+D60+D36+D90</f>
        <v>3305.4000000000005</v>
      </c>
      <c r="E138" s="6">
        <f>D138/D134*100</f>
        <v>1.083453520388095</v>
      </c>
      <c r="F138" s="6">
        <f t="shared" si="21"/>
        <v>69.94371323373821</v>
      </c>
      <c r="G138" s="6">
        <f t="shared" si="18"/>
        <v>41.129845081814224</v>
      </c>
      <c r="H138" s="6">
        <f t="shared" si="19"/>
        <v>1420.3999999999996</v>
      </c>
      <c r="I138" s="20">
        <f t="shared" si="20"/>
        <v>4731.1</v>
      </c>
      <c r="K138" s="49"/>
      <c r="L138" s="106"/>
    </row>
    <row r="139" spans="1:12" ht="18.75">
      <c r="A139" s="25" t="s">
        <v>2</v>
      </c>
      <c r="B139" s="70">
        <f>B8+B19+B45+B51</f>
        <v>4072.7000000000003</v>
      </c>
      <c r="C139" s="70">
        <f>C8+C19+C45+C51</f>
        <v>7873.900000000001</v>
      </c>
      <c r="D139" s="70">
        <f>D8+D19+D45+D51</f>
        <v>1885.9999999999995</v>
      </c>
      <c r="E139" s="6">
        <f>D139/D134*100</f>
        <v>0.6181985053100825</v>
      </c>
      <c r="F139" s="6">
        <f t="shared" si="21"/>
        <v>46.30834581481571</v>
      </c>
      <c r="G139" s="6">
        <f t="shared" si="18"/>
        <v>23.952552102515902</v>
      </c>
      <c r="H139" s="6">
        <f t="shared" si="19"/>
        <v>2186.7000000000007</v>
      </c>
      <c r="I139" s="20">
        <f t="shared" si="20"/>
        <v>5987.9000000000015</v>
      </c>
      <c r="K139" s="49"/>
      <c r="L139" s="50"/>
    </row>
    <row r="140" spans="1:12" ht="19.5" thickBot="1">
      <c r="A140" s="25" t="s">
        <v>35</v>
      </c>
      <c r="B140" s="70">
        <f>B134-B135-B136-B137-B138-B139</f>
        <v>53516.90000000007</v>
      </c>
      <c r="C140" s="70">
        <f>C134-C135-C136-C137-C138-C139</f>
        <v>92563.40000000001</v>
      </c>
      <c r="D140" s="70">
        <f>D134-D135-D136-D137-D138-D139</f>
        <v>35069.20000000001</v>
      </c>
      <c r="E140" s="6">
        <f>D140/D134*100</f>
        <v>11.495083256850666</v>
      </c>
      <c r="F140" s="6">
        <f t="shared" si="21"/>
        <v>65.52920666182078</v>
      </c>
      <c r="G140" s="46">
        <f t="shared" si="18"/>
        <v>37.88668091275819</v>
      </c>
      <c r="H140" s="6">
        <f t="shared" si="19"/>
        <v>18447.700000000055</v>
      </c>
      <c r="I140" s="6">
        <f t="shared" si="20"/>
        <v>57494.2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29554.7</v>
      </c>
      <c r="C142" s="77">
        <v>77971.6</v>
      </c>
      <c r="D142" s="77">
        <f>1285.7+343.1+251.2+535+4+1250.9+3+47.1</f>
        <v>3720</v>
      </c>
      <c r="E142" s="16"/>
      <c r="F142" s="6">
        <f t="shared" si="21"/>
        <v>12.586830521033878</v>
      </c>
      <c r="G142" s="6">
        <f aca="true" t="shared" si="22" ref="G142:G151">D142/C142*100</f>
        <v>4.770967890873087</v>
      </c>
      <c r="H142" s="6">
        <f>B142-D142</f>
        <v>25834.7</v>
      </c>
      <c r="I142" s="6">
        <f aca="true" t="shared" si="23" ref="I142:I151">C142-D142</f>
        <v>74251.6</v>
      </c>
      <c r="J142" s="109"/>
      <c r="K142" s="49"/>
      <c r="L142" s="49"/>
    </row>
    <row r="143" spans="1:12" ht="18.75">
      <c r="A143" s="25" t="s">
        <v>22</v>
      </c>
      <c r="B143" s="92">
        <v>14354.9</v>
      </c>
      <c r="C143" s="70">
        <f>23644.2-130</f>
        <v>23514.2</v>
      </c>
      <c r="D143" s="70">
        <f>2921.3+155.4+1707.9+56.8+14.6+990.8-990.8</f>
        <v>4856.000000000001</v>
      </c>
      <c r="E143" s="6"/>
      <c r="F143" s="6">
        <f t="shared" si="21"/>
        <v>33.8281701718577</v>
      </c>
      <c r="G143" s="6">
        <f t="shared" si="22"/>
        <v>20.651351098485176</v>
      </c>
      <c r="H143" s="6">
        <f aca="true" t="shared" si="24" ref="H143:H150">B143-D143</f>
        <v>9498.899999999998</v>
      </c>
      <c r="I143" s="6">
        <f t="shared" si="23"/>
        <v>18658.2</v>
      </c>
      <c r="K143" s="49"/>
      <c r="L143" s="49"/>
    </row>
    <row r="144" spans="1:12" ht="18.75">
      <c r="A144" s="25" t="s">
        <v>63</v>
      </c>
      <c r="B144" s="92">
        <v>37500.3</v>
      </c>
      <c r="C144" s="70">
        <f>109130.7-6200+130</f>
        <v>103060.7</v>
      </c>
      <c r="D144" s="70">
        <f>6096.5+112.1+30.9+1603.7+825.7-185.6+11.1+170.9+380.2+5.4+65.1+200.4+74.5+498.5+120.7+76.5+8.2+81+5.4+147.8+98.3+231.2+169.5+12.6+23.6+6.7+96.6</f>
        <v>10967.500000000002</v>
      </c>
      <c r="E144" s="6"/>
      <c r="F144" s="6">
        <f t="shared" si="21"/>
        <v>29.24643269520511</v>
      </c>
      <c r="G144" s="6">
        <f t="shared" si="22"/>
        <v>10.641786830479516</v>
      </c>
      <c r="H144" s="6">
        <f t="shared" si="24"/>
        <v>26532.800000000003</v>
      </c>
      <c r="I144" s="6">
        <f t="shared" si="23"/>
        <v>92093.2</v>
      </c>
      <c r="K144" s="49"/>
      <c r="L144" s="49"/>
    </row>
    <row r="145" spans="1:12" ht="37.5">
      <c r="A145" s="25" t="s">
        <v>72</v>
      </c>
      <c r="B145" s="92">
        <v>6200</v>
      </c>
      <c r="C145" s="70">
        <v>6200</v>
      </c>
      <c r="D145" s="70">
        <f>5500+500</f>
        <v>6000</v>
      </c>
      <c r="E145" s="6"/>
      <c r="F145" s="6">
        <f t="shared" si="21"/>
        <v>96.7741935483871</v>
      </c>
      <c r="G145" s="6">
        <f t="shared" si="22"/>
        <v>96.7741935483871</v>
      </c>
      <c r="H145" s="6">
        <f t="shared" si="24"/>
        <v>200</v>
      </c>
      <c r="I145" s="6">
        <f t="shared" si="23"/>
        <v>200</v>
      </c>
      <c r="K145" s="49"/>
      <c r="L145" s="49"/>
    </row>
    <row r="146" spans="1:12" ht="18.75">
      <c r="A146" s="25" t="s">
        <v>13</v>
      </c>
      <c r="B146" s="92">
        <v>8486.9</v>
      </c>
      <c r="C146" s="70">
        <f>8750.7+10716.7</f>
        <v>19467.4</v>
      </c>
      <c r="D146" s="70">
        <f>1079.6+99+23+18.9+98+142.5+46.8+99.4+162.7+67+248.3+33.5+121.9+230+22.3+285.5</f>
        <v>2778.4000000000005</v>
      </c>
      <c r="E146" s="21"/>
      <c r="F146" s="6">
        <f t="shared" si="21"/>
        <v>32.73751310843772</v>
      </c>
      <c r="G146" s="6">
        <f t="shared" si="22"/>
        <v>14.272065093438263</v>
      </c>
      <c r="H146" s="6">
        <f t="shared" si="24"/>
        <v>5708.499999999999</v>
      </c>
      <c r="I146" s="6">
        <f t="shared" si="23"/>
        <v>16689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724.1</v>
      </c>
      <c r="C148" s="70">
        <f>790+361.2</f>
        <v>1151.2</v>
      </c>
      <c r="D148" s="70">
        <f>371+201.4+67.1</f>
        <v>639.5</v>
      </c>
      <c r="E148" s="21"/>
      <c r="F148" s="6">
        <f>D148/B148*100</f>
        <v>88.3165308659025</v>
      </c>
      <c r="G148" s="6">
        <f t="shared" si="22"/>
        <v>55.55072967338429</v>
      </c>
      <c r="H148" s="6">
        <f t="shared" si="24"/>
        <v>84.60000000000002</v>
      </c>
      <c r="I148" s="6">
        <f t="shared" si="23"/>
        <v>511.70000000000005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v>5503.8</v>
      </c>
      <c r="C150" s="93">
        <f>3939.6+4926.7</f>
        <v>8866.3</v>
      </c>
      <c r="D150" s="93">
        <f>95.1+9.9+65+49.9+275.1+44.8+19.5</f>
        <v>559.3</v>
      </c>
      <c r="E150" s="26"/>
      <c r="F150" s="6">
        <f>D150/B150*100</f>
        <v>10.162069842654164</v>
      </c>
      <c r="G150" s="6">
        <f t="shared" si="22"/>
        <v>6.308155600419567</v>
      </c>
      <c r="H150" s="6">
        <f t="shared" si="24"/>
        <v>4944.5</v>
      </c>
      <c r="I150" s="6">
        <f t="shared" si="23"/>
        <v>8307</v>
      </c>
    </row>
    <row r="151" spans="1:9" ht="19.5" thickBot="1">
      <c r="A151" s="15" t="s">
        <v>20</v>
      </c>
      <c r="B151" s="94">
        <f>B134+B142+B146+B147+B143+B150+B149+B144+B148+B145</f>
        <v>475870.00000000006</v>
      </c>
      <c r="C151" s="94">
        <f>C134+C142+C146+C147+C143+C150+C149+C144+C148+C145</f>
        <v>866336.9999999999</v>
      </c>
      <c r="D151" s="94">
        <f>D134+D142+D146+D147+D143+D150+D149+D144+D148+D145</f>
        <v>335719</v>
      </c>
      <c r="E151" s="27"/>
      <c r="F151" s="3">
        <f>D151/B151*100</f>
        <v>70.54846911971757</v>
      </c>
      <c r="G151" s="3">
        <f t="shared" si="22"/>
        <v>38.75154818505963</v>
      </c>
      <c r="H151" s="3">
        <f>B151-D151</f>
        <v>140151.00000000006</v>
      </c>
      <c r="I151" s="3">
        <f t="shared" si="23"/>
        <v>530617.9999999999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I37" sqref="I37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305080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8" sqref="K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K42" sqref="K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N36" sqref="N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8" sqref="Q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K46" sqref="K4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8" sqref="Q2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305080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2014-06-02T06:55:48Z</cp:lastPrinted>
  <dcterms:created xsi:type="dcterms:W3CDTF">2000-06-20T04:48:00Z</dcterms:created>
  <dcterms:modified xsi:type="dcterms:W3CDTF">2014-06-16T05:04:57Z</dcterms:modified>
  <cp:category/>
  <cp:version/>
  <cp:contentType/>
  <cp:contentStatus/>
</cp:coreProperties>
</file>